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165" windowHeight="10080" activeTab="0"/>
  </bookViews>
  <sheets>
    <sheet name="Sheet1" sheetId="1" r:id="rId1"/>
  </sheets>
  <definedNames/>
  <calcPr fullCalcOnLoad="1"/>
</workbook>
</file>

<file path=xl/comments1.xml><?xml version="1.0" encoding="utf-8"?>
<comments xmlns="http://schemas.openxmlformats.org/spreadsheetml/2006/main">
  <authors>
    <author>Michael</author>
    <author>michael</author>
  </authors>
  <commentList>
    <comment ref="B6" authorId="0">
      <text>
        <r>
          <rPr>
            <sz val="10"/>
            <rFont val="Tahoma"/>
            <family val="2"/>
          </rPr>
          <t>Telescope objective diameter in milimeters</t>
        </r>
      </text>
    </comment>
    <comment ref="B8" authorId="0">
      <text>
        <r>
          <rPr>
            <sz val="9"/>
            <rFont val="Tahoma"/>
            <family val="2"/>
          </rPr>
          <t>Set to 1 (or delete) if no barow or focal reducers are used</t>
        </r>
      </text>
    </comment>
    <comment ref="E9" authorId="0">
      <text>
        <r>
          <rPr>
            <sz val="9"/>
            <rFont val="Tahoma"/>
            <family val="2"/>
          </rPr>
          <t>Based on the specified barlow</t>
        </r>
      </text>
    </comment>
    <comment ref="E14" authorId="1">
      <text>
        <r>
          <rPr>
            <sz val="9"/>
            <rFont val="Tahoma"/>
            <family val="2"/>
          </rPr>
          <t>inc. binning</t>
        </r>
      </text>
    </comment>
    <comment ref="E15" authorId="0">
      <text>
        <r>
          <rPr>
            <sz val="9"/>
            <rFont val="Tahoma"/>
            <family val="2"/>
          </rPr>
          <t>angular resolution of each pixel in arcseconds. 
Commonly recommended values are 1.5 to 2 for long exposure and 0.2-0.25 for short exposure astrophotography</t>
        </r>
      </text>
    </comment>
    <comment ref="B16" authorId="0">
      <text>
        <r>
          <rPr>
            <sz val="9"/>
            <rFont val="Tahoma"/>
            <family val="2"/>
          </rPr>
          <t>pixel pitch in micrometers</t>
        </r>
      </text>
    </comment>
    <comment ref="E16" authorId="0">
      <text>
        <r>
          <rPr>
            <sz val="9"/>
            <rFont val="Tahoma"/>
            <family val="2"/>
          </rPr>
          <t>Which barlow or focal reducer should be used to achieve a specified desired (optimal) image scale
This does not take into account the provided barlow/reducer parameters, only telescope's native focal length</t>
        </r>
      </text>
    </comment>
    <comment ref="B17" authorId="0">
      <text>
        <r>
          <rPr>
            <sz val="9"/>
            <rFont val="Tahoma"/>
            <family val="2"/>
          </rPr>
          <t>"1" for none, "2" for 2x2 binning, etc.</t>
        </r>
      </text>
    </comment>
    <comment ref="B18" authorId="0">
      <text>
        <r>
          <rPr>
            <sz val="9"/>
            <rFont val="Tahoma"/>
            <family val="2"/>
          </rPr>
          <t>Wavelength in nanometers used for diffraction calculations (default is 550nm for green)</t>
        </r>
      </text>
    </comment>
    <comment ref="B19" authorId="0">
      <text>
        <r>
          <rPr>
            <sz val="9"/>
            <rFont val="Tahoma"/>
            <family val="2"/>
          </rPr>
          <t>Image scale in arc-seconds per pixel used for calculating the recommended barlow power.
Commonly recommended values are 1.5 to 2 for long exposure and 0.2-0.25 for short exposure astrophotography</t>
        </r>
      </text>
    </comment>
    <comment ref="B23" authorId="0">
      <text>
        <r>
          <rPr>
            <sz val="9"/>
            <rFont val="Tahoma"/>
            <family val="2"/>
          </rPr>
          <t>Optical sampling rate used for calculating the recommended barlow power.
Commonly recommended values are 2 to 3 (depending on atmospheric seeing and SNR)</t>
        </r>
      </text>
    </comment>
    <comment ref="E10" authorId="0">
      <text>
        <r>
          <rPr>
            <sz val="10"/>
            <rFont val="Tahoma"/>
            <family val="2"/>
          </rPr>
          <t>Angular resolution of the telescope in arc-seconds, according to Rayleigh limit, at specified wavelength</t>
        </r>
      </text>
    </comment>
    <comment ref="E23" authorId="0">
      <text>
        <r>
          <rPr>
            <sz val="9"/>
            <rFont val="Tahoma"/>
            <family val="2"/>
          </rPr>
          <t>Number of pixels per angular resolution limit (samples per finest achievable detail). Commonly used value is 2 (nyquist rate). For brigth objects under good seeing conditions a higher sampling rate (up to 3) can be used.
If too high - decrease the effective focal length or use CCD with larger pixels.
If too low - increase the effective focal length or use CCD with smaller pixels</t>
        </r>
      </text>
    </comment>
    <comment ref="E24" authorId="0">
      <text>
        <r>
          <rPr>
            <sz val="9"/>
            <rFont val="Tahoma"/>
            <family val="2"/>
          </rPr>
          <t>Which barlow should be used to achieve a specified sampling rate, based on diffraction.
This does not take into account the provided barlow/reducer parameters, only telescope's native focal length</t>
        </r>
      </text>
    </comment>
    <comment ref="B27" authorId="0">
      <text>
        <r>
          <rPr>
            <sz val="9"/>
            <rFont val="Tahoma"/>
            <family val="2"/>
          </rPr>
          <t>Values higher then 1 are often used (2-6), since after stacking the blur will usually affect the sharpness of the planetary disc and not the surface details (for alignment based on features rather than on planetary disk edge or center of mass).</t>
        </r>
      </text>
    </comment>
    <comment ref="E25" authorId="0">
      <text>
        <r>
          <rPr>
            <sz val="9"/>
            <rFont val="Tahoma"/>
            <family val="2"/>
          </rPr>
          <t>Maximum time for video recording before blur due to a planet rotation is higher than specified</t>
        </r>
      </text>
    </comment>
    <comment ref="B32" authorId="0">
      <text>
        <r>
          <rPr>
            <sz val="9"/>
            <rFont val="Tahoma"/>
            <family val="2"/>
          </rPr>
          <t>Can be calculated via a diameter of a star image at long exposures (FWHM). Typical values are 2-4 arcsec</t>
        </r>
      </text>
    </comment>
    <comment ref="E32" authorId="0">
      <text>
        <r>
          <rPr>
            <sz val="9"/>
            <rFont val="Tahoma"/>
            <family val="2"/>
          </rPr>
          <t>Number of pixels per diameter of a star at long exposure (a point image blurred by atmospheric turbulence). Commonly used value is 2 (nyquist rate). Sometimes a higher sampling rate (up to 3) is used.
If too high - decrease the effective focal length or use CCD with larger pixels.
If too low - increase the effective focal length or use CCD with smaller pixels</t>
        </r>
      </text>
    </comment>
    <comment ref="B33" authorId="0">
      <text>
        <r>
          <rPr>
            <sz val="9"/>
            <rFont val="Tahoma"/>
            <family val="2"/>
          </rPr>
          <t>Optical sampling rate used for calculating the recommended barlow power.
Commonly recommended values are 2 to 3</t>
        </r>
      </text>
    </comment>
    <comment ref="E33" authorId="0">
      <text>
        <r>
          <rPr>
            <sz val="9"/>
            <rFont val="Tahoma"/>
            <family val="2"/>
          </rPr>
          <t>Which barlow should be used to achieve a specified sampling rate, based on atmospherical seeing
This does not take into account the provided barlow/reducer parameters, only telescope's native focal length</t>
        </r>
      </text>
    </comment>
    <comment ref="B36" authorId="0">
      <text>
        <r>
          <rPr>
            <sz val="9"/>
            <rFont val="Tahoma"/>
            <family val="2"/>
          </rPr>
          <t>Eyepiece focal length [mm] For imaging via eyepiece projection method</t>
        </r>
      </text>
    </comment>
    <comment ref="B37" authorId="0">
      <text>
        <r>
          <rPr>
            <sz val="9"/>
            <rFont val="Tahoma"/>
            <family val="2"/>
          </rPr>
          <t>Distance beteen the sensor and the focal plane of the eyepiece which is used for projection</t>
        </r>
      </text>
    </comment>
    <comment ref="B40" authorId="0">
      <text>
        <r>
          <rPr>
            <sz val="9"/>
            <rFont val="Tahoma"/>
            <family val="2"/>
          </rPr>
          <t xml:space="preserve">Smallest diameter of an element which is likely to introduce vignetting. For example: Secondary mirror, Paracorr, barlow, T-adapter, filter. 
</t>
        </r>
      </text>
    </comment>
    <comment ref="E40" authorId="0">
      <text>
        <r>
          <rPr>
            <sz val="9"/>
            <rFont val="Tahoma"/>
            <family val="2"/>
          </rPr>
          <t>Field of view diameter which has zero vignetting by a specified optical element. 
Ideally this should be larger than a chip diagonal, however a small edge vignetting is usually acceptable. 
A solution for vignetting can be either to increase the element diameter (i.e use a larger secondary mirror) or to place it closer to the focal plane (i.e. moving the secondary away from the primary and using a low profile focuser).
Calculation based on "Practical Calculations for Designing
a Newtonian Telescope" by Jeff Beish</t>
        </r>
      </text>
    </comment>
    <comment ref="B41" authorId="1">
      <text>
        <r>
          <rPr>
            <sz val="9"/>
            <rFont val="Tahoma"/>
            <family val="2"/>
          </rPr>
          <t>Distance between the focal plane (or a chip) and the vignetting element - for example 55mm for a Paracorr.</t>
        </r>
      </text>
    </comment>
    <comment ref="E41" authorId="0">
      <text>
        <r>
          <rPr>
            <sz val="9"/>
            <rFont val="Tahoma"/>
            <family val="2"/>
          </rPr>
          <t>Diffraction limited (strehl ratio of 0.8) coma free field of view diameter in a Newtonian telescope.</t>
        </r>
      </text>
    </comment>
    <comment ref="B42" authorId="0">
      <text>
        <r>
          <rPr>
            <sz val="9"/>
            <rFont val="Tahoma"/>
            <family val="2"/>
          </rPr>
          <t>Magnifying power of the vignetting element (i.e. 1.15 for paracorr, 1 for a secondary mirror or a filter)</t>
        </r>
      </text>
    </comment>
    <comment ref="E50" authorId="0">
      <text>
        <r>
          <rPr>
            <sz val="9"/>
            <rFont val="Tahoma"/>
            <family val="2"/>
          </rPr>
          <t>Depth of focus at which the defocus aberration is less then airy disk diameter (this is an indication of required focusing accuracy).</t>
        </r>
      </text>
    </comment>
    <comment ref="B54" authorId="1">
      <text>
        <r>
          <rPr>
            <sz val="9"/>
            <rFont val="Tahoma"/>
            <family val="2"/>
          </rPr>
          <t>Diameter of artificial star (pinhole) which is used for star-testing. If unknown - keep blank, the distance will be calculated according to a rule of thumb.</t>
        </r>
      </text>
    </comment>
    <comment ref="E54" authorId="1">
      <text>
        <r>
          <rPr>
            <sz val="9"/>
            <rFont val="Tahoma"/>
            <family val="2"/>
          </rPr>
          <t xml:space="preserve">If artifical star is used for for star-testing (or roddier tests) - there is a minimum distance for its placement.
based on diffraction limit (depends on pinhole diameter, in order to achieve a sub airy disk) and a recommendation by Roger Sinnott (May, 1991, Sky and Telescope).
For collimation only purposes the star can be placed closer
</t>
        </r>
      </text>
    </comment>
    <comment ref="B55" authorId="1">
      <text>
        <r>
          <rPr>
            <sz val="9"/>
            <rFont val="Tahoma"/>
            <family val="2"/>
          </rPr>
          <t>Defocus for Winroddier optics testing software which is based on star-tests.
20-25 waves recommended</t>
        </r>
      </text>
    </comment>
    <comment ref="E55" authorId="1">
      <text>
        <r>
          <rPr>
            <sz val="9"/>
            <rFont val="Tahoma"/>
            <family val="2"/>
          </rPr>
          <t>Defocus recommended for performing an optics quality test via Winroddier.</t>
        </r>
      </text>
    </comment>
    <comment ref="E56" authorId="1">
      <text>
        <r>
          <rPr>
            <sz val="9"/>
            <rFont val="Tahoma"/>
            <family val="2"/>
          </rPr>
          <t>Expected disk diameter during roddier test. Note this shouldn't be used for determining amount of defocus. The defocus must be measured directly, i.e. using a caliber</t>
        </r>
      </text>
    </comment>
    <comment ref="B50" authorId="1">
      <text>
        <r>
          <rPr>
            <sz val="9"/>
            <rFont val="Tahoma"/>
            <family val="2"/>
          </rPr>
          <t>Thermal expansion coefficient of the optical tube. Common tube materials: Aluminum: 23, Steel: 11, Fiberglass: 15, Carbon: ~3</t>
        </r>
      </text>
    </comment>
    <comment ref="B51" authorId="1">
      <text>
        <r>
          <rPr>
            <sz val="9"/>
            <rFont val="Tahoma"/>
            <family val="2"/>
          </rPr>
          <t>Used for calculating the OTA length difference due to temperature changes.
(How much temperature is expected to drop during the exposure)</t>
        </r>
      </text>
    </comment>
    <comment ref="E51" authorId="1">
      <text>
        <r>
          <rPr>
            <sz val="9"/>
            <rFont val="Tahoma"/>
            <family val="2"/>
          </rPr>
          <t>How much focal point moves due to thermal expansion of the OTA. If this value is higher than diffraction limited depth of focus - re-focusing is required during the temperature change
This value is calculated using the telescope focal length. This is approximately true for a Newtonian or a refractor, however for SCT or other catadioptrics - twice the length of the OTA should be taken instead of the focal length</t>
        </r>
      </text>
    </comment>
    <comment ref="E18" authorId="1">
      <text>
        <r>
          <rPr>
            <sz val="9"/>
            <rFont val="Tahoma"/>
            <family val="2"/>
          </rPr>
          <t>By how much the required exposure times have increased (or decreased) with the specified barlow/reducer</t>
        </r>
      </text>
    </comment>
    <comment ref="E26" authorId="1">
      <text>
        <r>
          <rPr>
            <sz val="9"/>
            <rFont val="Tahoma"/>
            <family val="2"/>
          </rPr>
          <t>Maximum time for video recording before blur due to a planet rotation is higher than specified</t>
        </r>
      </text>
    </comment>
    <comment ref="E27" authorId="1">
      <text>
        <r>
          <rPr>
            <sz val="9"/>
            <rFont val="Tahoma"/>
            <family val="2"/>
          </rPr>
          <t>Maximum time for video recording before blur due to a planet rotation is higher than specified</t>
        </r>
      </text>
    </comment>
    <comment ref="E45" authorId="1">
      <text>
        <r>
          <rPr>
            <sz val="9"/>
            <rFont val="Tahoma"/>
            <family val="2"/>
          </rPr>
          <t>Field rotation rate for alt-az mount</t>
        </r>
      </text>
    </comment>
  </commentList>
</comments>
</file>

<file path=xl/sharedStrings.xml><?xml version="1.0" encoding="utf-8"?>
<sst xmlns="http://schemas.openxmlformats.org/spreadsheetml/2006/main" count="83" uniqueCount="81">
  <si>
    <t>www.deepskywatch.com, Michael Vlasov © 2017</t>
  </si>
  <si>
    <t>Telescope Parameters</t>
  </si>
  <si>
    <t>inputs:</t>
  </si>
  <si>
    <t>results:</t>
  </si>
  <si>
    <t xml:space="preserve">Telescope Aperture [mm]: </t>
  </si>
  <si>
    <t xml:space="preserve">Telescope Focal Length [mm]: </t>
  </si>
  <si>
    <t xml:space="preserve">Barlow (or focal reducer) power: </t>
  </si>
  <si>
    <t xml:space="preserve">Effective focal ratio: </t>
  </si>
  <si>
    <t xml:space="preserve">Effective focal length [mm]: </t>
  </si>
  <si>
    <t xml:space="preserve"> Sensor Parameters</t>
  </si>
  <si>
    <t xml:space="preserve">Chip width [mm]: </t>
  </si>
  <si>
    <t xml:space="preserve">Effective pixel size [um]: </t>
  </si>
  <si>
    <t xml:space="preserve">Chip height [mm]: </t>
  </si>
  <si>
    <t xml:space="preserve">Image scale [arcsec/pixel]: </t>
  </si>
  <si>
    <t xml:space="preserve">Pixel size [µm]: </t>
  </si>
  <si>
    <t xml:space="preserve">Barlow power for desired image scale: </t>
  </si>
  <si>
    <t xml:space="preserve">Sensor binning: </t>
  </si>
  <si>
    <t xml:space="preserve">Wavelength [nm]: </t>
  </si>
  <si>
    <t xml:space="preserve">Desired image scale [arcsec/pixel]: </t>
  </si>
  <si>
    <t xml:space="preserve"> Planetary Imaging</t>
  </si>
  <si>
    <t xml:space="preserve">Jupiter angular diameter [arcsec]: </t>
  </si>
  <si>
    <t xml:space="preserve">Airy disk angular diameter [arcsec]: </t>
  </si>
  <si>
    <t xml:space="preserve">Saturn angular diameter [arcsec]: </t>
  </si>
  <si>
    <t xml:space="preserve">Sampling rate, limited by diffraction: </t>
  </si>
  <si>
    <t xml:space="preserve">Mars angular diameter [arcsec]: </t>
  </si>
  <si>
    <t xml:space="preserve">Barlow power for desired sampling rate: </t>
  </si>
  <si>
    <t xml:space="preserve">pixel blur allowed due to Jupiter rotation: </t>
  </si>
  <si>
    <t xml:space="preserve">Jupiter max video time [sec]: </t>
  </si>
  <si>
    <t xml:space="preserve">pixel blur allowed due to Saturn rotation: </t>
  </si>
  <si>
    <t xml:space="preserve">Saturn max video time [sec]: </t>
  </si>
  <si>
    <t xml:space="preserve">pixel blur allowed due to Mars rotation: </t>
  </si>
  <si>
    <t xml:space="preserve">Mars max video time [sec]: </t>
  </si>
  <si>
    <t xml:space="preserve"> Deep Sky Imaging</t>
  </si>
  <si>
    <t xml:space="preserve">Atmospherical Seeing [arcsec]: </t>
  </si>
  <si>
    <t xml:space="preserve">Sampling rate, limited by seeing: </t>
  </si>
  <si>
    <t xml:space="preserve"> Eyepiece Projection</t>
  </si>
  <si>
    <t xml:space="preserve">Effective FL for eyepiece projection [mm]: </t>
  </si>
  <si>
    <t xml:space="preserve">Fully Illuminated field of view [mm]: </t>
  </si>
  <si>
    <t xml:space="preserve">Newtonian coma-free field of view [mm]: </t>
  </si>
  <si>
    <t xml:space="preserve">Diffraction limited depth of focus [mm]: </t>
  </si>
  <si>
    <t xml:space="preserve">Artificial star minimum distance [m]: </t>
  </si>
  <si>
    <t xml:space="preserve">Roddier test defocus [mm]: </t>
  </si>
  <si>
    <t xml:space="preserve">Roddier test disk diameter [pixels]: </t>
  </si>
  <si>
    <t xml:space="preserve">inches: </t>
  </si>
  <si>
    <t xml:space="preserve">mm: </t>
  </si>
  <si>
    <t xml:space="preserve">milimeters: </t>
  </si>
  <si>
    <t xml:space="preserve">inch: </t>
  </si>
  <si>
    <t xml:space="preserve">ccd width [mm]: </t>
  </si>
  <si>
    <t xml:space="preserve">pixel size (pitch) [µm]: </t>
  </si>
  <si>
    <t xml:space="preserve">number of pixels in a row: </t>
  </si>
  <si>
    <t>Deep Sky Watch - Astrophoto Calculator</t>
  </si>
  <si>
    <t xml:space="preserve">Celestial Object angular size [arcmin]: </t>
  </si>
  <si>
    <t xml:space="preserve">Celestial object linear size [pixels]: </t>
  </si>
  <si>
    <t xml:space="preserve">Artificial star pinhole diameter [mm]: </t>
  </si>
  <si>
    <t xml:space="preserve">Vignetting element distance to focal plane [mm]: </t>
  </si>
  <si>
    <t xml:space="preserve">Vignetting element diameter [mm]: </t>
  </si>
  <si>
    <t xml:space="preserve">Eyepiece projection: EP distance to chip [mm]: </t>
  </si>
  <si>
    <t xml:space="preserve">Eyepiece projection: EP focal length [mm]: </t>
  </si>
  <si>
    <t xml:space="preserve">Desired sampling rate: </t>
  </si>
  <si>
    <t xml:space="preserve">Roddier test desired defocus [waves]: </t>
  </si>
  <si>
    <t xml:space="preserve">Angular field of view - width [deg]: </t>
  </si>
  <si>
    <t xml:space="preserve">Angular field of view - height [deg]: </t>
  </si>
  <si>
    <t xml:space="preserve">Angular resolution - Rayleigh fimit [arcsec]: </t>
  </si>
  <si>
    <t xml:space="preserve">Vignetting element optical power: </t>
  </si>
  <si>
    <t xml:space="preserve">Temperature difference [°C]: </t>
  </si>
  <si>
    <t xml:space="preserve">OTA coefficient of thermal expansion [1E-6/°C]: </t>
  </si>
  <si>
    <t xml:space="preserve">Focus change due to temperature [mm]: </t>
  </si>
  <si>
    <t xml:space="preserve"> Utilities</t>
  </si>
  <si>
    <t xml:space="preserve">Exposure time increase due to barlow [%]: </t>
  </si>
  <si>
    <t xml:space="preserve"> Vignetting and FOV</t>
  </si>
  <si>
    <t>Artificial Star</t>
  </si>
  <si>
    <t>Focus</t>
  </si>
  <si>
    <t>Notes</t>
  </si>
  <si>
    <t>The sheet is protected without a password. Go to file =&gt; unprotect to enable editing</t>
  </si>
  <si>
    <t>Fill the yellow fields only, blue are results of calculations</t>
  </si>
  <si>
    <t>Field Rotation</t>
  </si>
  <si>
    <t xml:space="preserve">Object Altitude [deg]: </t>
  </si>
  <si>
    <t xml:space="preserve">Object Azimuth [deg]: </t>
  </si>
  <si>
    <t xml:space="preserve">Observer's Latitude [deg]: </t>
  </si>
  <si>
    <t xml:space="preserve">Field rotation rate [deg/hour]: </t>
  </si>
  <si>
    <t xml:space="preserve">Pixel shift rate at sensor corner [pix/hour]: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</si>
</sst>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3">
    <font>
      <sz val="11"/>
      <color theme="1"/>
      <name val="Calibri"/>
      <family val="2"/>
    </font>
    <font>
      <sz val="11"/>
      <color indexed="8"/>
      <name val="Calibri"/>
      <family val="2"/>
    </font>
    <font>
      <sz val="10"/>
      <name val="Arial"/>
      <family val="2"/>
    </font>
    <font>
      <sz val="10"/>
      <color indexed="12"/>
      <name val="Arial"/>
      <family val="2"/>
    </font>
    <font>
      <b/>
      <sz val="14"/>
      <color indexed="17"/>
      <name val="Verdana"/>
      <family val="2"/>
    </font>
    <font>
      <sz val="14"/>
      <color indexed="17"/>
      <name val="Verdana"/>
      <family val="2"/>
    </font>
    <font>
      <b/>
      <sz val="11"/>
      <name val="Verdana"/>
      <family val="2"/>
    </font>
    <font>
      <sz val="10"/>
      <name val="Verdana"/>
      <family val="2"/>
    </font>
    <font>
      <sz val="11"/>
      <name val="Verdana"/>
      <family val="2"/>
    </font>
    <font>
      <u val="single"/>
      <sz val="10"/>
      <name val="Arial"/>
      <family val="2"/>
    </font>
    <font>
      <b/>
      <sz val="10"/>
      <name val="Arial"/>
      <family val="2"/>
    </font>
    <font>
      <sz val="10"/>
      <name val="Tahoma"/>
      <family val="2"/>
    </font>
    <font>
      <sz val="9"/>
      <name val="Tahoma"/>
      <family val="2"/>
    </font>
    <font>
      <b/>
      <sz val="10"/>
      <name val="Verdana"/>
      <family val="2"/>
    </font>
    <font>
      <i/>
      <sz val="10"/>
      <name val="Verdana"/>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8"/>
      <color indexed="63"/>
      <name val="Verdana"/>
      <family val="2"/>
    </font>
    <font>
      <b/>
      <sz val="14"/>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8"/>
      <color theme="1" tint="0.34999001026153564"/>
      <name val="Verdana"/>
      <family val="2"/>
    </font>
    <font>
      <b/>
      <sz val="14"/>
      <color theme="1"/>
      <name val="Verdana"/>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BDE3FB"/>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style="thin"/>
      <right/>
      <top style="thin"/>
      <bottom/>
    </border>
    <border>
      <left style="thin"/>
      <right/>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Font="1" applyAlignment="1">
      <alignment/>
    </xf>
    <xf numFmtId="0" fontId="2" fillId="11" borderId="10" xfId="0" applyFont="1" applyFill="1" applyBorder="1" applyAlignment="1" applyProtection="1">
      <alignment horizontal="center" vertical="center"/>
      <protection locked="0"/>
    </xf>
    <xf numFmtId="0" fontId="2" fillId="11" borderId="11"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50"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2" fillId="33" borderId="12" xfId="0" applyFont="1" applyFill="1" applyBorder="1" applyAlignment="1" applyProtection="1">
      <alignment horizontal="right" vertical="center"/>
      <protection/>
    </xf>
    <xf numFmtId="2" fontId="2" fillId="34" borderId="10" xfId="0" applyNumberFormat="1" applyFont="1" applyFill="1" applyBorder="1" applyAlignment="1" applyProtection="1">
      <alignment horizontal="center" vertical="center"/>
      <protection/>
    </xf>
    <xf numFmtId="0" fontId="2" fillId="33" borderId="13" xfId="0" applyFont="1" applyFill="1" applyBorder="1" applyAlignment="1" applyProtection="1">
      <alignment horizontal="right" vertical="center"/>
      <protection/>
    </xf>
    <xf numFmtId="2" fontId="2" fillId="34" borderId="11" xfId="0" applyNumberFormat="1" applyFont="1" applyFill="1" applyBorder="1" applyAlignment="1" applyProtection="1">
      <alignment horizontal="center" vertical="center"/>
      <protection/>
    </xf>
    <xf numFmtId="164" fontId="2" fillId="33" borderId="13" xfId="0" applyNumberFormat="1" applyFont="1" applyFill="1" applyBorder="1" applyAlignment="1" applyProtection="1">
      <alignment horizontal="right" vertical="center"/>
      <protection/>
    </xf>
    <xf numFmtId="164" fontId="2" fillId="34" borderId="11" xfId="0" applyNumberFormat="1" applyFont="1" applyFill="1" applyBorder="1" applyAlignment="1" applyProtection="1">
      <alignment horizontal="center" vertical="center"/>
      <protection/>
    </xf>
    <xf numFmtId="0" fontId="2" fillId="33" borderId="13" xfId="0" applyFont="1" applyFill="1" applyBorder="1" applyAlignment="1" applyProtection="1">
      <alignment vertical="center"/>
      <protection/>
    </xf>
    <xf numFmtId="1" fontId="2" fillId="34" borderId="11" xfId="0" applyNumberFormat="1" applyFont="1" applyFill="1" applyBorder="1" applyAlignment="1" applyProtection="1">
      <alignment horizontal="center" vertical="center"/>
      <protection/>
    </xf>
    <xf numFmtId="0" fontId="2" fillId="33" borderId="14" xfId="0" applyFont="1" applyFill="1" applyBorder="1" applyAlignment="1" applyProtection="1">
      <alignment vertical="center"/>
      <protection/>
    </xf>
    <xf numFmtId="0" fontId="2" fillId="33" borderId="14" xfId="0" applyFont="1" applyFill="1" applyBorder="1" applyAlignment="1" applyProtection="1">
      <alignment horizontal="right" vertical="center"/>
      <protection/>
    </xf>
    <xf numFmtId="1" fontId="2" fillId="34" borderId="15"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1" fontId="2" fillId="0" borderId="0" xfId="0" applyNumberFormat="1" applyFont="1"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34" borderId="11" xfId="0" applyFont="1" applyFill="1" applyBorder="1" applyAlignment="1" applyProtection="1">
      <alignment vertical="center"/>
      <protection/>
    </xf>
    <xf numFmtId="2" fontId="2" fillId="0" borderId="0" xfId="0" applyNumberFormat="1" applyFont="1" applyBorder="1" applyAlignment="1" applyProtection="1">
      <alignment vertical="center"/>
      <protection/>
    </xf>
    <xf numFmtId="0" fontId="2" fillId="34" borderId="15" xfId="0" applyFont="1" applyFill="1" applyBorder="1" applyAlignment="1" applyProtection="1">
      <alignment vertical="center"/>
      <protection/>
    </xf>
    <xf numFmtId="2" fontId="7" fillId="0" borderId="0" xfId="0" applyNumberFormat="1" applyFont="1" applyBorder="1" applyAlignment="1" applyProtection="1">
      <alignment vertical="center"/>
      <protection/>
    </xf>
    <xf numFmtId="2" fontId="2" fillId="34" borderId="15" xfId="0" applyNumberFormat="1" applyFont="1" applyFill="1" applyBorder="1" applyAlignment="1" applyProtection="1">
      <alignment horizontal="center" vertical="center"/>
      <protection/>
    </xf>
    <xf numFmtId="1" fontId="2" fillId="34" borderId="10" xfId="0" applyNumberFormat="1" applyFont="1" applyFill="1" applyBorder="1" applyAlignment="1" applyProtection="1">
      <alignment horizontal="center" vertical="center"/>
      <protection/>
    </xf>
    <xf numFmtId="164" fontId="2" fillId="34" borderId="10" xfId="0" applyNumberFormat="1" applyFont="1" applyFill="1" applyBorder="1" applyAlignment="1" applyProtection="1">
      <alignment horizontal="center" vertical="center"/>
      <protection/>
    </xf>
    <xf numFmtId="165" fontId="2" fillId="34" borderId="15" xfId="0" applyNumberFormat="1" applyFont="1" applyFill="1" applyBorder="1" applyAlignment="1" applyProtection="1">
      <alignment horizontal="center" vertical="center"/>
      <protection/>
    </xf>
    <xf numFmtId="0" fontId="9" fillId="0" borderId="0" xfId="0" applyFont="1" applyBorder="1" applyAlignment="1" applyProtection="1">
      <alignment horizontal="left" vertical="center"/>
      <protection/>
    </xf>
    <xf numFmtId="164" fontId="2" fillId="34" borderId="15" xfId="0" applyNumberFormat="1"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0" fontId="2" fillId="11" borderId="11" xfId="0" applyFont="1" applyFill="1" applyBorder="1" applyAlignment="1" applyProtection="1">
      <alignment vertical="center"/>
      <protection locked="0"/>
    </xf>
    <xf numFmtId="0" fontId="2" fillId="11" borderId="15" xfId="0" applyFont="1" applyFill="1" applyBorder="1" applyAlignment="1" applyProtection="1">
      <alignment vertical="center"/>
      <protection locked="0"/>
    </xf>
    <xf numFmtId="0" fontId="2" fillId="11" borderId="15" xfId="0"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xf>
    <xf numFmtId="0" fontId="14" fillId="0" borderId="0" xfId="0" applyFont="1" applyBorder="1" applyAlignment="1" applyProtection="1">
      <alignment horizontal="center" vertical="center"/>
      <protection/>
    </xf>
    <xf numFmtId="165" fontId="2" fillId="34" borderId="10" xfId="0" applyNumberFormat="1" applyFont="1" applyFill="1" applyBorder="1" applyAlignment="1" applyProtection="1">
      <alignment horizontal="center" vertical="center"/>
      <protection/>
    </xf>
    <xf numFmtId="0" fontId="15"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51"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75"/>
  <sheetViews>
    <sheetView showGridLines="0" tabSelected="1" zoomScalePageLayoutView="0" workbookViewId="0" topLeftCell="A19">
      <selection activeCell="I24" sqref="I24"/>
    </sheetView>
  </sheetViews>
  <sheetFormatPr defaultColWidth="9.140625" defaultRowHeight="15"/>
  <cols>
    <col min="1" max="1" width="4.28125" style="4" customWidth="1"/>
    <col min="2" max="2" width="42.57421875" style="4" customWidth="1"/>
    <col min="3" max="3" width="8.421875" style="4" customWidth="1"/>
    <col min="4" max="4" width="0.85546875" style="26" customWidth="1"/>
    <col min="5" max="5" width="39.7109375" style="4" customWidth="1"/>
    <col min="6" max="6" width="9.28125" style="4" customWidth="1"/>
    <col min="7" max="7" width="8.28125" style="4" customWidth="1"/>
    <col min="8" max="16384" width="9.140625" style="4" customWidth="1"/>
  </cols>
  <sheetData>
    <row r="1" ht="12.75"/>
    <row r="2" spans="2:7" ht="16.5" customHeight="1">
      <c r="B2" s="48" t="s">
        <v>50</v>
      </c>
      <c r="C2" s="48"/>
      <c r="D2" s="48"/>
      <c r="E2" s="48"/>
      <c r="F2" s="48"/>
      <c r="G2" s="3"/>
    </row>
    <row r="3" spans="2:7" ht="16.5" customHeight="1">
      <c r="B3" s="5" t="s">
        <v>0</v>
      </c>
      <c r="C3" s="6"/>
      <c r="D3" s="6"/>
      <c r="E3" s="6"/>
      <c r="F3" s="7"/>
      <c r="G3" s="3"/>
    </row>
    <row r="4" ht="23.25" customHeight="1">
      <c r="D4" s="8"/>
    </row>
    <row r="5" spans="2:6" s="10" customFormat="1" ht="18.75" customHeight="1">
      <c r="B5" s="43" t="s">
        <v>1</v>
      </c>
      <c r="C5" s="44" t="s">
        <v>2</v>
      </c>
      <c r="D5" s="9"/>
      <c r="F5" s="44" t="s">
        <v>3</v>
      </c>
    </row>
    <row r="6" spans="2:6" ht="17.25" customHeight="1">
      <c r="B6" s="11" t="s">
        <v>4</v>
      </c>
      <c r="C6" s="1">
        <v>300</v>
      </c>
      <c r="D6" s="4"/>
      <c r="E6" s="11" t="s">
        <v>60</v>
      </c>
      <c r="F6" s="12">
        <f>IF(OR(C14="",F9=""),"",57.3*2*ATAN(C14/(2*F9)))</f>
        <v>0.22919969440073343</v>
      </c>
    </row>
    <row r="7" spans="2:6" ht="17.25" customHeight="1">
      <c r="B7" s="13" t="s">
        <v>5</v>
      </c>
      <c r="C7" s="2">
        <v>1200</v>
      </c>
      <c r="D7" s="4"/>
      <c r="E7" s="13" t="s">
        <v>61</v>
      </c>
      <c r="F7" s="14">
        <f>IF(OR(C14="",F9=""),"",57.3*2*ATAN(C15/(2*F9)))</f>
        <v>0.17189987107517404</v>
      </c>
    </row>
    <row r="8" spans="2:6" ht="17.25" customHeight="1">
      <c r="B8" s="13" t="s">
        <v>6</v>
      </c>
      <c r="C8" s="2">
        <v>1</v>
      </c>
      <c r="D8" s="4"/>
      <c r="E8" s="15" t="s">
        <v>7</v>
      </c>
      <c r="F8" s="16">
        <f>IF(OR(F9="",C6=""),"",F9/C6)</f>
        <v>4</v>
      </c>
    </row>
    <row r="9" spans="2:6" ht="17.25" customHeight="1">
      <c r="B9" s="17"/>
      <c r="C9" s="40"/>
      <c r="D9" s="4"/>
      <c r="E9" s="13" t="s">
        <v>8</v>
      </c>
      <c r="F9" s="18">
        <f>IF(OR(C8="",C7=""),C7,C7*C8)</f>
        <v>1200</v>
      </c>
    </row>
    <row r="10" spans="2:6" ht="17.25" customHeight="1">
      <c r="B10" s="17"/>
      <c r="C10" s="40"/>
      <c r="D10" s="4"/>
      <c r="E10" s="13" t="s">
        <v>62</v>
      </c>
      <c r="F10" s="14">
        <f>IF(OR(C6="",C18=""),"",3600*57.3*1.22*((C18/1000000)/C6))</f>
        <v>0.46137960000000006</v>
      </c>
    </row>
    <row r="11" spans="2:6" ht="17.25" customHeight="1">
      <c r="B11" s="19"/>
      <c r="C11" s="41"/>
      <c r="D11" s="4"/>
      <c r="E11" s="20" t="s">
        <v>21</v>
      </c>
      <c r="F11" s="31">
        <f>IF(OR(C6="",C18=""),"",3600*57.3*(1.22*2)*((C18/1000000)/C6))</f>
        <v>0.9227592000000001</v>
      </c>
    </row>
    <row r="12" spans="2:7" ht="12" customHeight="1">
      <c r="B12" s="22"/>
      <c r="C12" s="22"/>
      <c r="D12" s="22"/>
      <c r="E12" s="23"/>
      <c r="F12" s="24"/>
      <c r="G12" s="22"/>
    </row>
    <row r="13" spans="2:6" s="10" customFormat="1" ht="18.75" customHeight="1">
      <c r="B13" s="43" t="s">
        <v>9</v>
      </c>
      <c r="C13" s="9"/>
      <c r="D13" s="9"/>
      <c r="E13" s="9"/>
      <c r="F13" s="25"/>
    </row>
    <row r="14" spans="2:6" ht="17.25" customHeight="1">
      <c r="B14" s="11" t="s">
        <v>10</v>
      </c>
      <c r="C14" s="1">
        <v>4.8</v>
      </c>
      <c r="D14" s="4"/>
      <c r="E14" s="11" t="s">
        <v>11</v>
      </c>
      <c r="F14" s="12">
        <f>IF(OR(C16="",C17=""),"",IF(C17="",C16,C16*C17))</f>
        <v>3.75</v>
      </c>
    </row>
    <row r="15" spans="2:6" ht="17.25" customHeight="1">
      <c r="B15" s="13" t="s">
        <v>12</v>
      </c>
      <c r="C15" s="2">
        <v>3.6</v>
      </c>
      <c r="D15" s="4"/>
      <c r="E15" s="13" t="s">
        <v>13</v>
      </c>
      <c r="F15" s="14">
        <f>IF(OR(F9="",F14=""),"",((F14/1000)/F9)*57.3*3600)</f>
        <v>0.6446249999999999</v>
      </c>
    </row>
    <row r="16" spans="2:6" ht="17.25" customHeight="1">
      <c r="B16" s="13" t="s">
        <v>14</v>
      </c>
      <c r="C16" s="2">
        <v>3.75</v>
      </c>
      <c r="D16" s="4"/>
      <c r="E16" s="13" t="s">
        <v>15</v>
      </c>
      <c r="F16" s="14">
        <f>IF(OR(C7="",C19="",F14=""),"",(F14/1000)*57.3*3600/(C7*C19))</f>
        <v>0.3223125</v>
      </c>
    </row>
    <row r="17" spans="2:6" ht="17.25" customHeight="1">
      <c r="B17" s="13" t="s">
        <v>16</v>
      </c>
      <c r="C17" s="2">
        <v>1</v>
      </c>
      <c r="E17" s="13" t="s">
        <v>52</v>
      </c>
      <c r="F17" s="18">
        <f>IF(OR(C20="",F14="",F9=""),"",((C20/60)/57.3)*F9/(F14/1000))</f>
        <v>46.53868528214078</v>
      </c>
    </row>
    <row r="18" spans="2:7" ht="17.25" customHeight="1">
      <c r="B18" s="13" t="s">
        <v>17</v>
      </c>
      <c r="C18" s="2">
        <v>550</v>
      </c>
      <c r="E18" s="13" t="s">
        <v>68</v>
      </c>
      <c r="F18" s="14">
        <f>(F8/(C7/C6))^2</f>
        <v>1</v>
      </c>
      <c r="G18" s="28"/>
    </row>
    <row r="19" spans="2:7" ht="17.25" customHeight="1">
      <c r="B19" s="13" t="s">
        <v>18</v>
      </c>
      <c r="C19" s="2">
        <v>2</v>
      </c>
      <c r="E19" s="13"/>
      <c r="F19" s="27"/>
      <c r="G19" s="28"/>
    </row>
    <row r="20" spans="2:7" ht="17.25" customHeight="1">
      <c r="B20" s="20" t="s">
        <v>51</v>
      </c>
      <c r="C20" s="42">
        <v>0.5</v>
      </c>
      <c r="E20" s="20"/>
      <c r="F20" s="29"/>
      <c r="G20" s="28"/>
    </row>
    <row r="21" ht="12" customHeight="1">
      <c r="G21" s="28"/>
    </row>
    <row r="22" spans="2:7" s="10" customFormat="1" ht="18.75" customHeight="1">
      <c r="B22" s="43" t="s">
        <v>19</v>
      </c>
      <c r="C22" s="9"/>
      <c r="D22" s="9"/>
      <c r="E22" s="9"/>
      <c r="F22" s="25"/>
      <c r="G22" s="30"/>
    </row>
    <row r="23" spans="2:7" ht="17.25" customHeight="1">
      <c r="B23" s="11" t="s">
        <v>58</v>
      </c>
      <c r="C23" s="1">
        <v>3</v>
      </c>
      <c r="E23" s="11" t="s">
        <v>23</v>
      </c>
      <c r="F23" s="12">
        <f>IF(OR(F14="",F9="",F10=""),"",((((F10/(3600*57.3))*(F9*1000))/F14)))</f>
        <v>0.7157333333333334</v>
      </c>
      <c r="G23" s="28"/>
    </row>
    <row r="24" spans="2:7" ht="17.25" customHeight="1">
      <c r="B24" s="13" t="s">
        <v>20</v>
      </c>
      <c r="C24" s="2">
        <v>44</v>
      </c>
      <c r="E24" s="13" t="s">
        <v>25</v>
      </c>
      <c r="F24" s="14">
        <f>IF(OR(F14="",C7="",F10="",C23=""),"",((F14/1000)/C7)*57.3*3600/F10)*C23</f>
        <v>4.191505216095379</v>
      </c>
      <c r="G24" s="28"/>
    </row>
    <row r="25" spans="2:6" ht="17.25" customHeight="1">
      <c r="B25" s="13" t="s">
        <v>22</v>
      </c>
      <c r="C25" s="2">
        <v>21</v>
      </c>
      <c r="E25" s="13" t="s">
        <v>27</v>
      </c>
      <c r="F25" s="18">
        <f>IF(OR(F15="",C27="",C24=""),"",(((F15*C27)/(((2*3.14)/36840)*(C24)))))</f>
        <v>343.77511580775905</v>
      </c>
    </row>
    <row r="26" spans="2:6" ht="17.25" customHeight="1">
      <c r="B26" s="13" t="s">
        <v>24</v>
      </c>
      <c r="C26" s="2">
        <v>15</v>
      </c>
      <c r="E26" s="13" t="s">
        <v>29</v>
      </c>
      <c r="F26" s="18">
        <f>IF(OR(F15="",C28="",C25=""),"",(((F15*C28)/(((2*3.14)/35400)*(C25)))))</f>
        <v>519.1020245677887</v>
      </c>
    </row>
    <row r="27" spans="2:6" ht="17.25" customHeight="1">
      <c r="B27" s="13" t="s">
        <v>26</v>
      </c>
      <c r="C27" s="2">
        <v>4</v>
      </c>
      <c r="E27" s="13" t="s">
        <v>31</v>
      </c>
      <c r="F27" s="18">
        <f>IF(OR(F15="",C29="",C26=""),"",(((F15*C29)/(((2*3.14)/88620)*(C26)))))</f>
        <v>1212.8804140127384</v>
      </c>
    </row>
    <row r="28" spans="2:6" ht="17.25" customHeight="1">
      <c r="B28" s="13" t="s">
        <v>28</v>
      </c>
      <c r="C28" s="2">
        <v>3</v>
      </c>
      <c r="E28" s="13"/>
      <c r="F28" s="18"/>
    </row>
    <row r="29" spans="2:6" ht="17.25" customHeight="1">
      <c r="B29" s="20" t="s">
        <v>30</v>
      </c>
      <c r="C29" s="42">
        <v>2</v>
      </c>
      <c r="E29" s="20"/>
      <c r="F29" s="21"/>
    </row>
    <row r="30" ht="12" customHeight="1"/>
    <row r="31" spans="2:6" s="10" customFormat="1" ht="18.75" customHeight="1">
      <c r="B31" s="43" t="s">
        <v>32</v>
      </c>
      <c r="C31" s="9"/>
      <c r="D31" s="9"/>
      <c r="E31" s="9"/>
      <c r="F31" s="25"/>
    </row>
    <row r="32" spans="2:6" ht="17.25" customHeight="1">
      <c r="B32" s="11" t="s">
        <v>33</v>
      </c>
      <c r="C32" s="1">
        <v>3.5</v>
      </c>
      <c r="E32" s="11" t="s">
        <v>34</v>
      </c>
      <c r="F32" s="12">
        <f>IF(OR(F14="",C32="",F9=""),"",(IF(C32&gt;F11,(((C32/3600)/57.3)*F9*1000)/F14,F23)))</f>
        <v>5.429513282916424</v>
      </c>
    </row>
    <row r="33" spans="2:6" ht="17.25" customHeight="1">
      <c r="B33" s="20" t="s">
        <v>58</v>
      </c>
      <c r="C33" s="42">
        <v>2</v>
      </c>
      <c r="E33" s="20" t="s">
        <v>25</v>
      </c>
      <c r="F33" s="31">
        <f>IF(OR(F14="",C32="",C33="",C7=""),"",(((F14/1000)/C7)*57.3*3600/C32)*C33)</f>
        <v>0.36835714285714277</v>
      </c>
    </row>
    <row r="34" ht="12" customHeight="1"/>
    <row r="35" spans="2:6" s="10" customFormat="1" ht="18.75" customHeight="1">
      <c r="B35" s="43" t="s">
        <v>35</v>
      </c>
      <c r="C35" s="9"/>
      <c r="D35" s="9"/>
      <c r="E35" s="9"/>
      <c r="F35" s="25"/>
    </row>
    <row r="36" spans="2:6" ht="17.25" customHeight="1">
      <c r="B36" s="11" t="s">
        <v>57</v>
      </c>
      <c r="C36" s="1">
        <v>20</v>
      </c>
      <c r="E36" s="11" t="s">
        <v>36</v>
      </c>
      <c r="F36" s="32">
        <f>IF(OR(C36="",C37=""),"",F9*((C37-C36)/C36))</f>
        <v>3600</v>
      </c>
    </row>
    <row r="37" spans="2:6" ht="15" customHeight="1">
      <c r="B37" s="20" t="s">
        <v>56</v>
      </c>
      <c r="C37" s="42">
        <v>80</v>
      </c>
      <c r="E37" s="20"/>
      <c r="F37" s="29"/>
    </row>
    <row r="38" ht="12" customHeight="1"/>
    <row r="39" spans="2:6" s="10" customFormat="1" ht="18.75" customHeight="1">
      <c r="B39" s="43" t="s">
        <v>69</v>
      </c>
      <c r="C39" s="9"/>
      <c r="D39" s="9"/>
      <c r="E39" s="9"/>
      <c r="F39" s="25"/>
    </row>
    <row r="40" spans="2:6" ht="13.5" customHeight="1">
      <c r="B40" s="11" t="s">
        <v>55</v>
      </c>
      <c r="C40" s="1">
        <v>78.5</v>
      </c>
      <c r="E40" s="11" t="s">
        <v>37</v>
      </c>
      <c r="F40" s="33">
        <f>IF(OR(C7="",C6="",C40="",C41="",C42=""),"",MAX(((C40*C7*C42)-(C41*C6))/(C7*C42-C41),0))</f>
        <v>6.298342541436464</v>
      </c>
    </row>
    <row r="41" spans="2:6" ht="13.5" customHeight="1">
      <c r="B41" s="13" t="s">
        <v>54</v>
      </c>
      <c r="C41" s="2">
        <v>295</v>
      </c>
      <c r="E41" s="13" t="s">
        <v>38</v>
      </c>
      <c r="F41" s="16">
        <f>IF(OR(F9="",C7="",C6=""),"",((2*38*((C7/C6)^2)/C6)/(60*57.3))*F9)</f>
        <v>1.41477603257708</v>
      </c>
    </row>
    <row r="42" spans="2:6" ht="13.5" customHeight="1">
      <c r="B42" s="20" t="s">
        <v>63</v>
      </c>
      <c r="C42" s="42">
        <v>1</v>
      </c>
      <c r="E42" s="20"/>
      <c r="F42" s="36"/>
    </row>
    <row r="43" ht="12" customHeight="1"/>
    <row r="44" ht="18.75" customHeight="1">
      <c r="B44" s="43" t="s">
        <v>75</v>
      </c>
    </row>
    <row r="45" spans="2:6" ht="12" customHeight="1">
      <c r="B45" s="11" t="s">
        <v>76</v>
      </c>
      <c r="C45" s="1">
        <v>30</v>
      </c>
      <c r="E45" s="11" t="s">
        <v>79</v>
      </c>
      <c r="F45" s="12">
        <f>15.04*COS(C45)*COS(C46)*COS(C47)</f>
        <v>1.5757248562140427</v>
      </c>
    </row>
    <row r="46" spans="2:6" ht="12" customHeight="1">
      <c r="B46" s="13" t="s">
        <v>77</v>
      </c>
      <c r="C46" s="2">
        <v>120</v>
      </c>
      <c r="E46" s="13" t="s">
        <v>80</v>
      </c>
      <c r="F46" s="16">
        <f>(F45/57.3)*(0.5*SQRT(C14^2+C15^2)/(C16/1000))</f>
        <v>21.99964895237756</v>
      </c>
    </row>
    <row r="47" spans="2:6" ht="12" customHeight="1">
      <c r="B47" s="20" t="s">
        <v>78</v>
      </c>
      <c r="C47" s="42">
        <v>32</v>
      </c>
      <c r="E47" s="20"/>
      <c r="F47" s="36"/>
    </row>
    <row r="48" ht="12" customHeight="1"/>
    <row r="49" ht="18.75" customHeight="1">
      <c r="B49" s="43" t="s">
        <v>71</v>
      </c>
    </row>
    <row r="50" spans="2:6" ht="13.5" customHeight="1">
      <c r="B50" s="11" t="s">
        <v>65</v>
      </c>
      <c r="C50" s="1">
        <v>24</v>
      </c>
      <c r="E50" s="11" t="s">
        <v>39</v>
      </c>
      <c r="F50" s="45">
        <f>IF(OR(F8="",C18=""),"",1.22*4*C18*(F8^2)/1000000)</f>
        <v>0.042944</v>
      </c>
    </row>
    <row r="51" spans="2:6" ht="13.5" customHeight="1">
      <c r="B51" s="20" t="s">
        <v>64</v>
      </c>
      <c r="C51" s="42">
        <v>10</v>
      </c>
      <c r="E51" s="20" t="s">
        <v>66</v>
      </c>
      <c r="F51" s="34">
        <f>0.000001*C50*C51*C7</f>
        <v>0.28800000000000003</v>
      </c>
    </row>
    <row r="52" ht="12" customHeight="1">
      <c r="E52" s="35"/>
    </row>
    <row r="53" spans="2:6" s="10" customFormat="1" ht="18.75" customHeight="1">
      <c r="B53" s="43" t="s">
        <v>70</v>
      </c>
      <c r="C53" s="9"/>
      <c r="D53" s="9"/>
      <c r="E53" s="9"/>
      <c r="F53" s="25"/>
    </row>
    <row r="54" spans="2:6" ht="13.5" customHeight="1">
      <c r="B54" s="11" t="s">
        <v>53</v>
      </c>
      <c r="C54" s="1">
        <v>0.25</v>
      </c>
      <c r="E54" s="11" t="s">
        <v>40</v>
      </c>
      <c r="F54" s="33">
        <f>MAX(IF(C54="",0,(C54/((F11/3600)/57.3))/1000),0.0254*MAX(20,(((336*(C6/25.4))/(F8^3)))*(F9/25.4)))</f>
        <v>74.40944881889763</v>
      </c>
    </row>
    <row r="55" spans="2:6" ht="13.5" customHeight="1">
      <c r="B55" s="13" t="s">
        <v>59</v>
      </c>
      <c r="C55" s="2">
        <v>25</v>
      </c>
      <c r="E55" s="13" t="s">
        <v>41</v>
      </c>
      <c r="F55" s="16">
        <f>IF(OR(C55="",F9="",C6=""),"",(8*(F9/C6)^2*0.000555)*C55)</f>
        <v>1.7760000000000002</v>
      </c>
    </row>
    <row r="56" spans="2:6" ht="13.5" customHeight="1">
      <c r="B56" s="19"/>
      <c r="C56" s="41"/>
      <c r="E56" s="20" t="s">
        <v>42</v>
      </c>
      <c r="F56" s="36">
        <f>IF(OR(F55="",F14="",C6="",F9=""),"",2*(F55*((C6/2)/F9))/(F14/1000))</f>
        <v>118.40000000000002</v>
      </c>
    </row>
    <row r="57" ht="12" customHeight="1"/>
    <row r="58" spans="2:9" s="10" customFormat="1" ht="18.75" customHeight="1">
      <c r="B58" s="43" t="s">
        <v>67</v>
      </c>
      <c r="C58" s="9"/>
      <c r="D58" s="9"/>
      <c r="E58" s="9"/>
      <c r="F58" s="25"/>
      <c r="I58" s="4"/>
    </row>
    <row r="59" spans="2:6" ht="13.5" customHeight="1">
      <c r="B59" s="11" t="s">
        <v>43</v>
      </c>
      <c r="C59" s="1">
        <v>3.1</v>
      </c>
      <c r="E59" s="11" t="s">
        <v>44</v>
      </c>
      <c r="F59" s="12">
        <f>C59*25.4</f>
        <v>78.74</v>
      </c>
    </row>
    <row r="60" spans="2:9" ht="13.5" customHeight="1">
      <c r="B60" s="13" t="s">
        <v>45</v>
      </c>
      <c r="C60" s="2">
        <v>204</v>
      </c>
      <c r="E60" s="13" t="s">
        <v>46</v>
      </c>
      <c r="F60" s="14">
        <f>C60/25.4</f>
        <v>8.031496062992126</v>
      </c>
      <c r="I60" s="10"/>
    </row>
    <row r="61" spans="2:6" ht="13.5" customHeight="1">
      <c r="B61" s="13" t="s">
        <v>47</v>
      </c>
      <c r="C61" s="2">
        <v>4.8</v>
      </c>
      <c r="E61" s="13" t="s">
        <v>48</v>
      </c>
      <c r="F61" s="37">
        <f>(C61/C62)*1000</f>
        <v>3.75</v>
      </c>
    </row>
    <row r="62" spans="2:6" ht="13.5" customHeight="1">
      <c r="B62" s="20" t="s">
        <v>49</v>
      </c>
      <c r="C62" s="42">
        <v>1280</v>
      </c>
      <c r="E62" s="19"/>
      <c r="F62" s="29"/>
    </row>
    <row r="63" ht="13.5" customHeight="1"/>
    <row r="64" ht="15" customHeight="1">
      <c r="B64" s="43" t="s">
        <v>72</v>
      </c>
    </row>
    <row r="65" spans="2:6" ht="13.5" customHeight="1">
      <c r="B65" s="46" t="s">
        <v>74</v>
      </c>
      <c r="C65" s="47"/>
      <c r="D65" s="47"/>
      <c r="E65" s="47"/>
      <c r="F65" s="47"/>
    </row>
    <row r="66" spans="2:6" ht="13.5" customHeight="1">
      <c r="B66" s="46" t="s">
        <v>73</v>
      </c>
      <c r="C66" s="47"/>
      <c r="D66" s="47"/>
      <c r="E66" s="47"/>
      <c r="F66" s="47"/>
    </row>
    <row r="67" spans="2:6" ht="13.5" customHeight="1">
      <c r="B67" s="49"/>
      <c r="C67" s="49"/>
      <c r="D67" s="49"/>
      <c r="E67" s="49"/>
      <c r="F67" s="49"/>
    </row>
    <row r="68" spans="4:6" ht="13.5" customHeight="1">
      <c r="D68" s="4"/>
      <c r="E68" s="39"/>
      <c r="F68" s="26"/>
    </row>
    <row r="69" spans="4:5" ht="13.5" customHeight="1">
      <c r="D69" s="4"/>
      <c r="E69" s="38"/>
    </row>
    <row r="70" spans="4:5" ht="13.5" customHeight="1">
      <c r="D70" s="4"/>
      <c r="E70" s="38"/>
    </row>
    <row r="71" ht="13.5" customHeight="1">
      <c r="D71" s="4"/>
    </row>
    <row r="72" spans="4:6" ht="13.5" customHeight="1">
      <c r="D72" s="4"/>
      <c r="E72" s="39"/>
      <c r="F72" s="26"/>
    </row>
    <row r="73" ht="13.5" customHeight="1">
      <c r="D73" s="4"/>
    </row>
    <row r="74" ht="13.5" customHeight="1">
      <c r="D74" s="4"/>
    </row>
    <row r="75" ht="13.5" customHeight="1">
      <c r="D75" s="4"/>
    </row>
  </sheetData>
  <sheetProtection formatCells="0"/>
  <mergeCells count="2">
    <mergeCell ref="B2:F2"/>
    <mergeCell ref="B67:F67"/>
  </mergeCells>
  <dataValidations count="1">
    <dataValidation allowBlank="1" showErrorMessage="1" prompt="Your telescope objective diameter in inches (required)" sqref="B6"/>
  </dataValidations>
  <printOptions/>
  <pageMargins left="0.7" right="0.7" top="0.75" bottom="0.75" header="0.3" footer="0.3"/>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michael</cp:lastModifiedBy>
  <dcterms:created xsi:type="dcterms:W3CDTF">2017-09-05T20:24:04Z</dcterms:created>
  <dcterms:modified xsi:type="dcterms:W3CDTF">2020-04-25T20:35:28Z</dcterms:modified>
  <cp:category/>
  <cp:version/>
  <cp:contentType/>
  <cp:contentStatus/>
</cp:coreProperties>
</file>